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468" activeTab="2"/>
  </bookViews>
  <sheets>
    <sheet name="设计签署页" sheetId="3" r:id="rId1"/>
    <sheet name="设计概算封面" sheetId="4" r:id="rId2"/>
    <sheet name="框架结构最后打印" sheetId="5" r:id="rId3"/>
  </sheets>
  <definedNames>
    <definedName name="_xlnm.Print_Area" localSheetId="2">框架结构最后打印!$A$1:$L$46</definedName>
    <definedName name="_xlnm.Print_Titles" localSheetId="2">框架结构最后打印!$2:$5</definedName>
  </definedNames>
  <calcPr calcId="114210" fullCalcOnLoad="1"/>
</workbook>
</file>

<file path=xl/calcChain.xml><?xml version="1.0" encoding="utf-8"?>
<calcChain xmlns="http://schemas.openxmlformats.org/spreadsheetml/2006/main">
  <c r="G44" i="5"/>
  <c r="J43"/>
  <c r="I43"/>
  <c r="G43"/>
  <c r="F43"/>
  <c r="E43"/>
  <c r="D43"/>
  <c r="C43"/>
  <c r="K41"/>
  <c r="G41"/>
  <c r="F41"/>
  <c r="E41"/>
  <c r="D41"/>
  <c r="C41"/>
  <c r="G40"/>
  <c r="F40"/>
  <c r="K39"/>
  <c r="G39"/>
  <c r="F39"/>
  <c r="K38"/>
  <c r="J38"/>
  <c r="I38"/>
  <c r="K37"/>
  <c r="J37"/>
  <c r="I37"/>
  <c r="G37"/>
  <c r="F37"/>
  <c r="K36"/>
  <c r="G36"/>
  <c r="F36"/>
  <c r="K35"/>
  <c r="G35"/>
  <c r="F35"/>
  <c r="K34"/>
  <c r="G34"/>
  <c r="K33"/>
  <c r="G33"/>
  <c r="F33"/>
  <c r="K32"/>
  <c r="G32"/>
  <c r="F32"/>
  <c r="K31"/>
  <c r="G31"/>
  <c r="F31"/>
  <c r="K30"/>
  <c r="G30"/>
  <c r="F30"/>
  <c r="K29"/>
  <c r="G29"/>
  <c r="F29"/>
  <c r="K28"/>
  <c r="G28"/>
  <c r="F28"/>
  <c r="K27"/>
  <c r="G27"/>
  <c r="F27"/>
  <c r="K26"/>
  <c r="G26"/>
  <c r="F26"/>
  <c r="K25"/>
  <c r="G25"/>
  <c r="F25"/>
  <c r="K24"/>
  <c r="G24"/>
  <c r="F24"/>
  <c r="K22"/>
  <c r="J22"/>
  <c r="I22"/>
  <c r="G22"/>
  <c r="F22"/>
  <c r="E22"/>
  <c r="D22"/>
  <c r="C22"/>
  <c r="K21"/>
  <c r="J21"/>
  <c r="I21"/>
  <c r="G21"/>
  <c r="E21"/>
  <c r="D21"/>
  <c r="K20"/>
  <c r="J20"/>
  <c r="I20"/>
  <c r="G20"/>
  <c r="D20"/>
  <c r="K19"/>
  <c r="J19"/>
  <c r="I19"/>
  <c r="G19"/>
  <c r="E19"/>
  <c r="D19"/>
  <c r="K18"/>
  <c r="J18"/>
  <c r="I18"/>
  <c r="G18"/>
  <c r="K17"/>
  <c r="J17"/>
  <c r="I17"/>
  <c r="G17"/>
  <c r="C17"/>
  <c r="K16"/>
  <c r="J16"/>
  <c r="I16"/>
  <c r="G16"/>
  <c r="K15"/>
  <c r="J15"/>
  <c r="I15"/>
  <c r="G15"/>
  <c r="K14"/>
  <c r="J14"/>
  <c r="G14"/>
  <c r="C14"/>
  <c r="K13"/>
  <c r="J13"/>
  <c r="G13"/>
  <c r="K12"/>
  <c r="J12"/>
  <c r="G12"/>
  <c r="E12"/>
  <c r="D12"/>
  <c r="K11"/>
  <c r="J11"/>
  <c r="G11"/>
  <c r="E11"/>
  <c r="D11"/>
  <c r="K10"/>
  <c r="J10"/>
  <c r="G10"/>
  <c r="E10"/>
  <c r="D10"/>
  <c r="K9"/>
  <c r="J9"/>
  <c r="G9"/>
  <c r="C9"/>
  <c r="K8"/>
  <c r="J8"/>
  <c r="G8"/>
  <c r="K7"/>
  <c r="J7"/>
  <c r="I7"/>
  <c r="G7"/>
  <c r="E7"/>
  <c r="D7"/>
  <c r="C7"/>
  <c r="K6"/>
  <c r="J6"/>
  <c r="I6"/>
  <c r="G6"/>
  <c r="F6"/>
  <c r="E6"/>
  <c r="D6"/>
  <c r="C6"/>
</calcChain>
</file>

<file path=xl/sharedStrings.xml><?xml version="1.0" encoding="utf-8"?>
<sst xmlns="http://schemas.openxmlformats.org/spreadsheetml/2006/main" count="130" uniqueCount="97">
  <si>
    <t>设 计 概 算 签 署 页</t>
  </si>
  <si>
    <t>工程名称</t>
  </si>
  <si>
    <t>嘉峪关市第二中学综合教学楼建设项目</t>
  </si>
  <si>
    <t>建设地址</t>
  </si>
  <si>
    <t>单项工程</t>
  </si>
  <si>
    <t>嘉峪关市第二中学综合教学楼建设项目土建、给排水、采暖、电气、外线、总图。</t>
  </si>
  <si>
    <t>建设单位</t>
  </si>
  <si>
    <t>嘉峪关市教育局</t>
  </si>
  <si>
    <t>编制单位</t>
  </si>
  <si>
    <t>甘肃筑鼎建设有限责任公司</t>
  </si>
  <si>
    <t>编制日期</t>
  </si>
  <si>
    <t>报审概算造价</t>
  </si>
  <si>
    <t>大写</t>
  </si>
  <si>
    <t>人民币肆仟壹佰陆拾玖万肆仟陆佰元整</t>
  </si>
  <si>
    <t>小写</t>
  </si>
  <si>
    <t>4169.46万元</t>
  </si>
  <si>
    <t>编制人</t>
  </si>
  <si>
    <t>审核人</t>
  </si>
  <si>
    <t>审定人</t>
  </si>
  <si>
    <t>设 计 概 算 封 面</t>
  </si>
  <si>
    <t>设 计 概 算 书</t>
  </si>
  <si>
    <t>工 程 名 称：</t>
  </si>
  <si>
    <t>单 项 工 程：</t>
  </si>
  <si>
    <t>嘉峪关市第二中学综合教学楼建设项目的土建、给排水、采暖、电气、外线、总图。</t>
  </si>
  <si>
    <t>建 筑 面 积：</t>
  </si>
  <si>
    <t>12142.6m2</t>
  </si>
  <si>
    <t>单方造价(元/m2)：</t>
  </si>
  <si>
    <t>档 案 号：</t>
  </si>
  <si>
    <t>(共  册    第  册)</t>
  </si>
  <si>
    <t>编制单位执业印章</t>
  </si>
  <si>
    <t>年  月  日</t>
  </si>
  <si>
    <t>工程名称：嘉峪关市第二中学综合教学楼建设项目                                                           单位：万元</t>
  </si>
  <si>
    <t>序                  号</t>
  </si>
  <si>
    <t>工程和费用名称</t>
  </si>
  <si>
    <t xml:space="preserve"> 概 算  价  值</t>
  </si>
  <si>
    <t>总                 值</t>
  </si>
  <si>
    <t>技术经济指标</t>
  </si>
  <si>
    <t>占投资 %</t>
  </si>
  <si>
    <t>备注</t>
  </si>
  <si>
    <t>建筑工程</t>
  </si>
  <si>
    <t>安装工程</t>
  </si>
  <si>
    <t>设 备</t>
  </si>
  <si>
    <t>其他费</t>
  </si>
  <si>
    <t>单位</t>
  </si>
  <si>
    <t>数量</t>
  </si>
  <si>
    <t>指标(元）</t>
  </si>
  <si>
    <t>总计</t>
  </si>
  <si>
    <t>m2</t>
  </si>
  <si>
    <t>一</t>
  </si>
  <si>
    <t>工程费用</t>
  </si>
  <si>
    <t>(一)</t>
  </si>
  <si>
    <t>教学楼</t>
  </si>
  <si>
    <t>室内给排水工程</t>
  </si>
  <si>
    <t>室内采暖工程</t>
  </si>
  <si>
    <t>室内电气及弱电工程</t>
  </si>
  <si>
    <r>
      <rPr>
        <b/>
        <sz val="12"/>
        <rFont val="宋体"/>
        <charset val="134"/>
      </rPr>
      <t>(</t>
    </r>
    <r>
      <rPr>
        <sz val="12"/>
        <rFont val="宋体"/>
        <charset val="134"/>
      </rPr>
      <t>二)</t>
    </r>
  </si>
  <si>
    <t>拆除费</t>
  </si>
  <si>
    <t>原初中楼及实验楼</t>
  </si>
  <si>
    <r>
      <rPr>
        <b/>
        <sz val="12"/>
        <rFont val="宋体"/>
        <charset val="134"/>
      </rPr>
      <t>(</t>
    </r>
    <r>
      <rPr>
        <sz val="12"/>
        <rFont val="宋体"/>
        <charset val="134"/>
      </rPr>
      <t>三)</t>
    </r>
  </si>
  <si>
    <t>室外工程</t>
  </si>
  <si>
    <t>总图及道路工程</t>
  </si>
  <si>
    <t>1.1</t>
  </si>
  <si>
    <t>室外管网</t>
  </si>
  <si>
    <t>2·1</t>
  </si>
  <si>
    <t>给排水外线</t>
  </si>
  <si>
    <t>2·2</t>
  </si>
  <si>
    <t>采暖外线</t>
  </si>
  <si>
    <t>2·3</t>
  </si>
  <si>
    <t>电气外线</t>
  </si>
  <si>
    <t>工程费用合计</t>
  </si>
  <si>
    <t>二</t>
  </si>
  <si>
    <t>工程建设其他费</t>
  </si>
  <si>
    <t>设计费</t>
  </si>
  <si>
    <t>按规定</t>
  </si>
  <si>
    <t>勘察费</t>
  </si>
  <si>
    <t>监理费</t>
  </si>
  <si>
    <t>建设单位管理费</t>
  </si>
  <si>
    <t>建设工程交易服务费</t>
  </si>
  <si>
    <t>2.2万/宗</t>
  </si>
  <si>
    <t>招标代理服务费</t>
  </si>
  <si>
    <t>施工图设计审查费</t>
  </si>
  <si>
    <t>1.5元/m2</t>
  </si>
  <si>
    <t>预算编制、审核费</t>
  </si>
  <si>
    <t>安全评估咨询服务费</t>
  </si>
  <si>
    <t>环境影响评价费</t>
  </si>
  <si>
    <t>可行性研究费</t>
  </si>
  <si>
    <t>初步设计评估咨询服务费</t>
  </si>
  <si>
    <t>地震安全性评价费</t>
  </si>
  <si>
    <t>其它费合计</t>
  </si>
  <si>
    <t>三</t>
  </si>
  <si>
    <t>基本预备费</t>
  </si>
  <si>
    <t>价差预备费</t>
  </si>
  <si>
    <t>工程投资总造价</t>
  </si>
  <si>
    <t>建设项目总费用合计</t>
  </si>
  <si>
    <t>投资构成（100%）</t>
  </si>
  <si>
    <t>附件</t>
    <phoneticPr fontId="13" type="noConversion"/>
  </si>
  <si>
    <t>建设投资总概算表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</si>
</sst>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6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9"/>
      <color indexed="8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color indexed="8"/>
      <name val="??"/>
      <family val="2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4"/>
      <name val="黑体"/>
      <family val="3"/>
      <charset val="134"/>
    </font>
    <font>
      <sz val="16"/>
      <name val="方正小标宋简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1" fillId="3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77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0" fillId="4" borderId="1" xfId="1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7" fontId="4" fillId="2" borderId="0" xfId="0" applyNumberFormat="1" applyFont="1" applyFill="1" applyAlignment="1">
      <alignment horizontal="center" vertical="center" wrapText="1"/>
    </xf>
    <xf numFmtId="0" fontId="6" fillId="0" borderId="0" xfId="1" applyFont="1" applyFill="1" applyBorder="1" applyAlignment="1"/>
    <xf numFmtId="0" fontId="2" fillId="4" borderId="2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vertical="center" wrapText="1"/>
    </xf>
    <xf numFmtId="0" fontId="2" fillId="4" borderId="3" xfId="1" applyFont="1" applyFill="1" applyBorder="1" applyAlignment="1">
      <alignment horizontal="left" wrapText="1"/>
    </xf>
    <xf numFmtId="0" fontId="8" fillId="4" borderId="4" xfId="1" applyFont="1" applyFill="1" applyBorder="1" applyAlignment="1">
      <alignment horizontal="left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left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4" borderId="8" xfId="1" applyFont="1" applyFill="1" applyBorder="1" applyAlignment="1">
      <alignment horizontal="left" vertical="center" wrapText="1"/>
    </xf>
    <xf numFmtId="0" fontId="9" fillId="4" borderId="7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right" vertical="center" wrapText="1"/>
    </xf>
    <xf numFmtId="0" fontId="9" fillId="4" borderId="20" xfId="1" applyFont="1" applyFill="1" applyBorder="1" applyAlignment="1">
      <alignment horizontal="left" vertical="center" wrapText="1"/>
    </xf>
    <xf numFmtId="0" fontId="9" fillId="4" borderId="21" xfId="1" applyFont="1" applyFill="1" applyBorder="1" applyAlignment="1">
      <alignment horizontal="left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9" fillId="4" borderId="22" xfId="1" applyFont="1" applyFill="1" applyBorder="1" applyAlignment="1">
      <alignment horizontal="left" vertical="center" wrapText="1"/>
    </xf>
    <xf numFmtId="0" fontId="9" fillId="4" borderId="23" xfId="1" applyFont="1" applyFill="1" applyBorder="1" applyAlignment="1">
      <alignment horizontal="left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14" fontId="9" fillId="4" borderId="8" xfId="1" applyNumberFormat="1" applyFont="1" applyFill="1" applyBorder="1" applyAlignment="1">
      <alignment horizontal="left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left" wrapText="1"/>
    </xf>
    <xf numFmtId="0" fontId="9" fillId="4" borderId="26" xfId="1" applyFont="1" applyFill="1" applyBorder="1" applyAlignment="1">
      <alignment horizontal="left" wrapText="1"/>
    </xf>
    <xf numFmtId="0" fontId="8" fillId="4" borderId="27" xfId="1" applyFont="1" applyFill="1" applyBorder="1" applyAlignment="1">
      <alignment horizontal="center" vertical="center" wrapText="1"/>
    </xf>
    <xf numFmtId="0" fontId="8" fillId="4" borderId="28" xfId="1" applyFont="1" applyFill="1" applyBorder="1" applyAlignment="1">
      <alignment horizontal="center" vertical="center" wrapText="1"/>
    </xf>
    <xf numFmtId="0" fontId="8" fillId="4" borderId="29" xfId="1" applyFont="1" applyFill="1" applyBorder="1" applyAlignment="1">
      <alignment horizontal="center" vertical="center" wrapText="1"/>
    </xf>
    <xf numFmtId="0" fontId="8" fillId="4" borderId="30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left" wrapText="1"/>
    </xf>
    <xf numFmtId="0" fontId="9" fillId="4" borderId="31" xfId="1" applyFont="1" applyFill="1" applyBorder="1" applyAlignment="1">
      <alignment horizontal="left" wrapText="1"/>
    </xf>
    <xf numFmtId="0" fontId="9" fillId="4" borderId="0" xfId="1" applyFont="1" applyFill="1" applyBorder="1" applyAlignment="1">
      <alignment horizontal="left" vertical="center" wrapText="1"/>
    </xf>
    <xf numFmtId="0" fontId="9" fillId="4" borderId="31" xfId="1" applyFont="1" applyFill="1" applyBorder="1" applyAlignment="1">
      <alignment horizontal="left" vertical="center" wrapText="1"/>
    </xf>
    <xf numFmtId="0" fontId="9" fillId="4" borderId="24" xfId="1" applyFont="1" applyFill="1" applyBorder="1" applyAlignment="1">
      <alignment horizontal="left" wrapText="1"/>
    </xf>
    <xf numFmtId="0" fontId="2" fillId="4" borderId="0" xfId="1" applyFont="1" applyFill="1" applyBorder="1" applyAlignment="1">
      <alignment wrapText="1"/>
    </xf>
    <xf numFmtId="0" fontId="2" fillId="4" borderId="24" xfId="1" applyFont="1" applyFill="1" applyBorder="1" applyAlignment="1">
      <alignment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25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8" fillId="4" borderId="24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3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G5" sqref="G5:H5"/>
    </sheetView>
  </sheetViews>
  <sheetFormatPr defaultColWidth="7.8984375" defaultRowHeight="10.8"/>
  <cols>
    <col min="1" max="1" width="11.8984375" style="26" customWidth="1"/>
    <col min="2" max="2" width="7.69921875" style="26" customWidth="1"/>
    <col min="3" max="3" width="2.59765625" style="26" customWidth="1"/>
    <col min="4" max="4" width="19.09765625" style="26" customWidth="1"/>
    <col min="5" max="5" width="13" style="26" customWidth="1"/>
    <col min="6" max="6" width="2.69921875" style="26" customWidth="1"/>
    <col min="7" max="7" width="5.69921875" style="26" customWidth="1"/>
    <col min="8" max="8" width="15.19921875" style="26" customWidth="1"/>
    <col min="9" max="16384" width="7.8984375" style="26"/>
  </cols>
  <sheetData>
    <row r="1" spans="1:8" ht="36" customHeight="1">
      <c r="A1" s="39" t="s">
        <v>0</v>
      </c>
      <c r="B1" s="39"/>
      <c r="C1" s="39"/>
      <c r="D1" s="39"/>
      <c r="E1" s="39"/>
      <c r="F1" s="40"/>
      <c r="G1" s="40"/>
      <c r="H1" s="40"/>
    </row>
    <row r="2" spans="1:8" ht="57" customHeight="1">
      <c r="A2" s="32" t="s">
        <v>1</v>
      </c>
      <c r="B2" s="41" t="s">
        <v>2</v>
      </c>
      <c r="C2" s="42"/>
      <c r="D2" s="42"/>
      <c r="E2" s="43" t="s">
        <v>3</v>
      </c>
      <c r="F2" s="43"/>
      <c r="G2" s="44"/>
      <c r="H2" s="45"/>
    </row>
    <row r="3" spans="1:8" ht="87" customHeight="1">
      <c r="A3" s="33" t="s">
        <v>4</v>
      </c>
      <c r="B3" s="37" t="s">
        <v>5</v>
      </c>
      <c r="C3" s="37"/>
      <c r="D3" s="37"/>
      <c r="E3" s="37"/>
      <c r="F3" s="37"/>
      <c r="G3" s="37"/>
      <c r="H3" s="38"/>
    </row>
    <row r="4" spans="1:8" ht="81" customHeight="1">
      <c r="A4" s="33" t="s">
        <v>6</v>
      </c>
      <c r="B4" s="49" t="s">
        <v>7</v>
      </c>
      <c r="C4" s="50"/>
      <c r="D4" s="50"/>
      <c r="E4" s="50"/>
      <c r="F4" s="50"/>
      <c r="G4" s="50"/>
      <c r="H4" s="51"/>
    </row>
    <row r="5" spans="1:8" ht="118.95" customHeight="1">
      <c r="A5" s="33" t="s">
        <v>8</v>
      </c>
      <c r="B5" s="37" t="s">
        <v>9</v>
      </c>
      <c r="C5" s="37"/>
      <c r="D5" s="37"/>
      <c r="E5" s="52" t="s">
        <v>10</v>
      </c>
      <c r="F5" s="52"/>
      <c r="G5" s="53">
        <v>43930</v>
      </c>
      <c r="H5" s="38"/>
    </row>
    <row r="6" spans="1:8" ht="99" customHeight="1">
      <c r="A6" s="33" t="s">
        <v>11</v>
      </c>
      <c r="B6" s="35" t="s">
        <v>12</v>
      </c>
      <c r="C6" s="37" t="s">
        <v>13</v>
      </c>
      <c r="D6" s="37"/>
      <c r="E6" s="37"/>
      <c r="F6" s="37"/>
      <c r="G6" s="35" t="s">
        <v>14</v>
      </c>
      <c r="H6" s="34" t="s">
        <v>15</v>
      </c>
    </row>
    <row r="7" spans="1:8" ht="61.05" customHeight="1">
      <c r="A7" s="54" t="s">
        <v>16</v>
      </c>
      <c r="B7" s="55"/>
      <c r="C7" s="55"/>
      <c r="D7" s="56"/>
      <c r="E7" s="57"/>
      <c r="F7" s="58"/>
      <c r="G7" s="58"/>
      <c r="H7" s="59"/>
    </row>
    <row r="8" spans="1:8" ht="61.05" customHeight="1">
      <c r="A8" s="54" t="s">
        <v>17</v>
      </c>
      <c r="B8" s="55"/>
      <c r="C8" s="55"/>
      <c r="D8" s="56"/>
      <c r="E8" s="57"/>
      <c r="F8" s="58"/>
      <c r="G8" s="58"/>
      <c r="H8" s="59"/>
    </row>
    <row r="9" spans="1:8" ht="61.05" customHeight="1">
      <c r="A9" s="46" t="s">
        <v>18</v>
      </c>
      <c r="B9" s="47"/>
      <c r="C9" s="47"/>
      <c r="D9" s="47"/>
      <c r="E9" s="47"/>
      <c r="F9" s="47"/>
      <c r="G9" s="47"/>
      <c r="H9" s="48"/>
    </row>
  </sheetData>
  <mergeCells count="16">
    <mergeCell ref="G5:H5"/>
    <mergeCell ref="C6:F6"/>
    <mergeCell ref="A7:D7"/>
    <mergeCell ref="E7:H7"/>
    <mergeCell ref="A8:D8"/>
    <mergeCell ref="E8:H8"/>
    <mergeCell ref="B3:H3"/>
    <mergeCell ref="A1:H1"/>
    <mergeCell ref="B2:D2"/>
    <mergeCell ref="E2:F2"/>
    <mergeCell ref="G2:H2"/>
    <mergeCell ref="A9:D9"/>
    <mergeCell ref="E9:H9"/>
    <mergeCell ref="B4:H4"/>
    <mergeCell ref="B5:D5"/>
    <mergeCell ref="E5:F5"/>
  </mergeCells>
  <phoneticPr fontId="13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6"/>
  <sheetViews>
    <sheetView workbookViewId="0">
      <selection activeCell="C5" sqref="C5:E5"/>
    </sheetView>
  </sheetViews>
  <sheetFormatPr defaultColWidth="30.3984375" defaultRowHeight="100.05" customHeight="1"/>
  <cols>
    <col min="1" max="1" width="7.59765625" customWidth="1"/>
    <col min="2" max="2" width="22.8984375" customWidth="1"/>
    <col min="3" max="3" width="16.8984375" customWidth="1"/>
    <col min="4" max="4" width="17" customWidth="1"/>
    <col min="5" max="5" width="21.69921875" customWidth="1"/>
    <col min="6" max="6" width="30.3984375" customWidth="1"/>
  </cols>
  <sheetData>
    <row r="1" spans="1:5" s="26" customFormat="1" ht="58.95" customHeight="1">
      <c r="A1" s="39" t="s">
        <v>19</v>
      </c>
      <c r="B1" s="39"/>
      <c r="C1" s="39"/>
      <c r="D1" s="39"/>
      <c r="E1" s="40"/>
    </row>
    <row r="2" spans="1:5" s="26" customFormat="1" ht="52.95" customHeight="1">
      <c r="A2" s="62" t="s">
        <v>20</v>
      </c>
      <c r="B2" s="63"/>
      <c r="C2" s="64"/>
      <c r="D2" s="64"/>
      <c r="E2" s="65"/>
    </row>
    <row r="3" spans="1:5" s="26" customFormat="1" ht="52.95" customHeight="1">
      <c r="A3" s="27"/>
      <c r="B3" s="28" t="s">
        <v>21</v>
      </c>
      <c r="C3" s="66" t="s">
        <v>2</v>
      </c>
      <c r="D3" s="66"/>
      <c r="E3" s="67"/>
    </row>
    <row r="4" spans="1:5" s="26" customFormat="1" ht="139.05000000000001" customHeight="1">
      <c r="A4" s="27"/>
      <c r="B4" s="29" t="s">
        <v>22</v>
      </c>
      <c r="C4" s="68" t="s">
        <v>23</v>
      </c>
      <c r="D4" s="68"/>
      <c r="E4" s="69"/>
    </row>
    <row r="5" spans="1:5" s="26" customFormat="1" ht="55.05" customHeight="1">
      <c r="A5" s="27"/>
      <c r="B5" s="28" t="s">
        <v>24</v>
      </c>
      <c r="C5" s="66" t="s">
        <v>25</v>
      </c>
      <c r="D5" s="66"/>
      <c r="E5" s="70"/>
    </row>
    <row r="6" spans="1:5" s="26" customFormat="1" ht="100.05" customHeight="1">
      <c r="A6" s="27"/>
      <c r="B6" s="28" t="s">
        <v>26</v>
      </c>
      <c r="C6" s="66">
        <v>3187.17</v>
      </c>
      <c r="D6" s="66"/>
      <c r="E6" s="70"/>
    </row>
    <row r="7" spans="1:5" s="26" customFormat="1" ht="61.95" customHeight="1">
      <c r="A7" s="27"/>
      <c r="B7" s="28" t="s">
        <v>27</v>
      </c>
      <c r="C7" s="71" t="s">
        <v>28</v>
      </c>
      <c r="D7" s="71"/>
      <c r="E7" s="72"/>
    </row>
    <row r="8" spans="1:5" s="26" customFormat="1" ht="73.95" customHeight="1">
      <c r="A8" s="73" t="s">
        <v>29</v>
      </c>
      <c r="B8" s="74"/>
      <c r="C8" s="75"/>
      <c r="D8" s="75"/>
      <c r="E8" s="76"/>
    </row>
    <row r="9" spans="1:5" s="26" customFormat="1" ht="73.95" customHeight="1">
      <c r="A9" s="73" t="s">
        <v>30</v>
      </c>
      <c r="B9" s="74"/>
      <c r="C9" s="75"/>
      <c r="D9" s="75"/>
      <c r="E9" s="76"/>
    </row>
    <row r="10" spans="1:5" s="26" customFormat="1" ht="7.95" customHeight="1">
      <c r="A10" s="30"/>
      <c r="B10" s="31"/>
      <c r="C10" s="60"/>
      <c r="D10" s="60"/>
      <c r="E10" s="61"/>
    </row>
    <row r="11" spans="1:5" s="26" customFormat="1" ht="100.05" customHeight="1"/>
    <row r="12" spans="1:5" s="26" customFormat="1" ht="100.05" customHeight="1"/>
    <row r="13" spans="1:5" s="26" customFormat="1" ht="100.05" customHeight="1"/>
    <row r="14" spans="1:5" s="26" customFormat="1" ht="100.05" customHeight="1"/>
    <row r="15" spans="1:5" s="26" customFormat="1" ht="100.05" customHeight="1"/>
    <row r="16" spans="1:5" s="26" customFormat="1" ht="100.05" customHeight="1"/>
    <row r="17" s="26" customFormat="1" ht="100.05" customHeight="1"/>
    <row r="18" s="26" customFormat="1" ht="100.05" customHeight="1"/>
    <row r="19" s="26" customFormat="1" ht="100.05" customHeight="1"/>
    <row r="20" s="26" customFormat="1" ht="100.05" customHeight="1"/>
    <row r="21" s="26" customFormat="1" ht="100.05" customHeight="1"/>
    <row r="22" s="26" customFormat="1" ht="100.05" customHeight="1"/>
    <row r="23" s="26" customFormat="1" ht="100.05" customHeight="1"/>
    <row r="24" s="26" customFormat="1" ht="100.05" customHeight="1"/>
    <row r="25" s="26" customFormat="1" ht="100.05" customHeight="1"/>
    <row r="26" s="26" customFormat="1" ht="100.05" customHeight="1"/>
    <row r="27" s="26" customFormat="1" ht="100.05" customHeight="1"/>
    <row r="28" s="26" customFormat="1" ht="100.05" customHeight="1"/>
    <row r="29" s="26" customFormat="1" ht="100.05" customHeight="1"/>
    <row r="30" s="26" customFormat="1" ht="100.05" customHeight="1"/>
    <row r="31" s="26" customFormat="1" ht="100.05" customHeight="1"/>
    <row r="32" s="26" customFormat="1" ht="100.05" customHeight="1"/>
    <row r="33" s="26" customFormat="1" ht="100.05" customHeight="1"/>
    <row r="34" s="26" customFormat="1" ht="100.05" customHeight="1"/>
    <row r="35" s="26" customFormat="1" ht="100.05" customHeight="1"/>
    <row r="36" s="26" customFormat="1" ht="100.05" customHeight="1"/>
    <row r="37" s="26" customFormat="1" ht="100.05" customHeight="1"/>
    <row r="38" s="26" customFormat="1" ht="100.05" customHeight="1"/>
    <row r="39" s="26" customFormat="1" ht="100.05" customHeight="1"/>
    <row r="40" s="26" customFormat="1" ht="100.05" customHeight="1"/>
    <row r="41" s="26" customFormat="1" ht="100.05" customHeight="1"/>
    <row r="42" s="26" customFormat="1" ht="100.05" customHeight="1"/>
    <row r="43" s="26" customFormat="1" ht="100.05" customHeight="1"/>
    <row r="44" s="26" customFormat="1" ht="100.05" customHeight="1"/>
    <row r="45" s="26" customFormat="1" ht="100.05" customHeight="1"/>
    <row r="46" s="26" customFormat="1" ht="100.05" customHeight="1"/>
    <row r="47" s="26" customFormat="1" ht="100.05" customHeight="1"/>
    <row r="48" s="26" customFormat="1" ht="100.05" customHeight="1"/>
    <row r="49" s="26" customFormat="1" ht="100.05" customHeight="1"/>
    <row r="50" s="26" customFormat="1" ht="100.05" customHeight="1"/>
    <row r="51" s="26" customFormat="1" ht="100.05" customHeight="1"/>
    <row r="52" s="26" customFormat="1" ht="100.05" customHeight="1"/>
    <row r="53" s="26" customFormat="1" ht="100.05" customHeight="1"/>
    <row r="54" s="26" customFormat="1" ht="100.05" customHeight="1"/>
    <row r="55" s="26" customFormat="1" ht="100.05" customHeight="1"/>
    <row r="56" s="26" customFormat="1" ht="100.05" customHeight="1"/>
    <row r="57" s="26" customFormat="1" ht="100.05" customHeight="1"/>
    <row r="58" s="26" customFormat="1" ht="100.05" customHeight="1"/>
    <row r="59" s="26" customFormat="1" ht="100.05" customHeight="1"/>
    <row r="60" s="26" customFormat="1" ht="100.05" customHeight="1"/>
    <row r="61" s="26" customFormat="1" ht="100.05" customHeight="1"/>
    <row r="62" s="26" customFormat="1" ht="100.05" customHeight="1"/>
    <row r="63" s="26" customFormat="1" ht="100.05" customHeight="1"/>
    <row r="64" s="26" customFormat="1" ht="100.05" customHeight="1"/>
    <row r="65" s="26" customFormat="1" ht="100.05" customHeight="1"/>
    <row r="66" s="26" customFormat="1" ht="100.05" customHeight="1"/>
    <row r="67" s="26" customFormat="1" ht="100.05" customHeight="1"/>
    <row r="68" s="26" customFormat="1" ht="100.05" customHeight="1"/>
    <row r="69" s="26" customFormat="1" ht="100.05" customHeight="1"/>
    <row r="70" s="26" customFormat="1" ht="100.05" customHeight="1"/>
    <row r="71" s="26" customFormat="1" ht="100.05" customHeight="1"/>
    <row r="72" s="26" customFormat="1" ht="100.05" customHeight="1"/>
    <row r="73" s="26" customFormat="1" ht="100.05" customHeight="1"/>
    <row r="74" s="26" customFormat="1" ht="100.05" customHeight="1"/>
    <row r="75" s="26" customFormat="1" ht="100.05" customHeight="1"/>
    <row r="76" s="26" customFormat="1" ht="100.05" customHeight="1"/>
    <row r="77" s="26" customFormat="1" ht="100.05" customHeight="1"/>
    <row r="78" s="26" customFormat="1" ht="100.05" customHeight="1"/>
    <row r="79" s="26" customFormat="1" ht="100.05" customHeight="1"/>
    <row r="80" s="26" customFormat="1" ht="100.05" customHeight="1"/>
    <row r="81" s="26" customFormat="1" ht="100.05" customHeight="1"/>
    <row r="82" s="26" customFormat="1" ht="100.05" customHeight="1"/>
    <row r="83" s="26" customFormat="1" ht="100.05" customHeight="1"/>
    <row r="84" s="26" customFormat="1" ht="100.05" customHeight="1"/>
    <row r="85" s="26" customFormat="1" ht="100.05" customHeight="1"/>
    <row r="86" s="26" customFormat="1" ht="100.05" customHeight="1"/>
    <row r="87" s="26" customFormat="1" ht="100.05" customHeight="1"/>
    <row r="88" s="26" customFormat="1" ht="100.05" customHeight="1"/>
    <row r="89" s="26" customFormat="1" ht="100.05" customHeight="1"/>
    <row r="90" s="26" customFormat="1" ht="100.05" customHeight="1"/>
    <row r="91" s="26" customFormat="1" ht="100.05" customHeight="1"/>
    <row r="92" s="26" customFormat="1" ht="100.05" customHeight="1"/>
    <row r="93" s="26" customFormat="1" ht="100.05" customHeight="1"/>
    <row r="94" s="26" customFormat="1" ht="100.05" customHeight="1"/>
    <row r="95" s="26" customFormat="1" ht="100.05" customHeight="1"/>
    <row r="96" s="26" customFormat="1" ht="100.05" customHeight="1"/>
    <row r="97" s="26" customFormat="1" ht="100.05" customHeight="1"/>
    <row r="98" s="26" customFormat="1" ht="100.05" customHeight="1"/>
    <row r="99" s="26" customFormat="1" ht="100.05" customHeight="1"/>
    <row r="100" s="26" customFormat="1" ht="100.05" customHeight="1"/>
    <row r="101" s="26" customFormat="1" ht="100.05" customHeight="1"/>
    <row r="102" s="26" customFormat="1" ht="100.05" customHeight="1"/>
    <row r="103" s="26" customFormat="1" ht="100.05" customHeight="1"/>
    <row r="104" s="26" customFormat="1" ht="100.05" customHeight="1"/>
    <row r="105" s="26" customFormat="1" ht="100.05" customHeight="1"/>
    <row r="106" s="26" customFormat="1" ht="100.05" customHeight="1"/>
    <row r="107" s="26" customFormat="1" ht="100.05" customHeight="1"/>
    <row r="108" s="26" customFormat="1" ht="100.05" customHeight="1"/>
    <row r="109" s="26" customFormat="1" ht="100.05" customHeight="1"/>
    <row r="110" s="26" customFormat="1" ht="100.05" customHeight="1"/>
    <row r="111" s="26" customFormat="1" ht="100.05" customHeight="1"/>
    <row r="112" s="26" customFormat="1" ht="100.05" customHeight="1"/>
    <row r="113" s="26" customFormat="1" ht="100.05" customHeight="1"/>
    <row r="114" s="26" customFormat="1" ht="100.05" customHeight="1"/>
    <row r="115" s="26" customFormat="1" ht="100.05" customHeight="1"/>
    <row r="116" s="26" customFormat="1" ht="100.05" customHeight="1"/>
    <row r="117" s="26" customFormat="1" ht="100.05" customHeight="1"/>
    <row r="118" s="26" customFormat="1" ht="100.05" customHeight="1"/>
    <row r="119" s="26" customFormat="1" ht="100.05" customHeight="1"/>
    <row r="120" s="26" customFormat="1" ht="100.05" customHeight="1"/>
    <row r="121" s="26" customFormat="1" ht="100.05" customHeight="1"/>
    <row r="122" s="26" customFormat="1" ht="100.05" customHeight="1"/>
    <row r="123" s="26" customFormat="1" ht="100.05" customHeight="1"/>
    <row r="124" s="26" customFormat="1" ht="100.05" customHeight="1"/>
    <row r="125" s="26" customFormat="1" ht="100.05" customHeight="1"/>
    <row r="126" s="26" customFormat="1" ht="100.05" customHeight="1"/>
    <row r="127" s="26" customFormat="1" ht="100.05" customHeight="1"/>
    <row r="128" s="26" customFormat="1" ht="100.05" customHeight="1"/>
    <row r="129" s="26" customFormat="1" ht="100.05" customHeight="1"/>
    <row r="130" s="26" customFormat="1" ht="100.05" customHeight="1"/>
    <row r="131" s="26" customFormat="1" ht="100.05" customHeight="1"/>
    <row r="132" s="26" customFormat="1" ht="100.05" customHeight="1"/>
    <row r="133" s="26" customFormat="1" ht="100.05" customHeight="1"/>
    <row r="134" s="26" customFormat="1" ht="100.05" customHeight="1"/>
    <row r="135" s="26" customFormat="1" ht="100.05" customHeight="1"/>
    <row r="136" s="26" customFormat="1" ht="100.05" customHeight="1"/>
    <row r="137" s="26" customFormat="1" ht="100.05" customHeight="1"/>
    <row r="138" s="26" customFormat="1" ht="100.05" customHeight="1"/>
    <row r="139" s="26" customFormat="1" ht="100.05" customHeight="1"/>
    <row r="140" s="26" customFormat="1" ht="100.05" customHeight="1"/>
    <row r="141" s="26" customFormat="1" ht="100.05" customHeight="1"/>
    <row r="142" s="26" customFormat="1" ht="100.05" customHeight="1"/>
    <row r="143" s="26" customFormat="1" ht="100.05" customHeight="1"/>
    <row r="144" s="26" customFormat="1" ht="100.05" customHeight="1"/>
    <row r="145" s="26" customFormat="1" ht="100.05" customHeight="1"/>
    <row r="146" s="26" customFormat="1" ht="100.05" customHeight="1"/>
    <row r="147" s="26" customFormat="1" ht="100.05" customHeight="1"/>
    <row r="148" s="26" customFormat="1" ht="100.05" customHeight="1"/>
    <row r="149" s="26" customFormat="1" ht="100.05" customHeight="1"/>
    <row r="150" s="26" customFormat="1" ht="100.05" customHeight="1"/>
    <row r="151" s="26" customFormat="1" ht="100.05" customHeight="1"/>
    <row r="152" s="26" customFormat="1" ht="100.05" customHeight="1"/>
    <row r="153" s="26" customFormat="1" ht="100.05" customHeight="1"/>
    <row r="154" s="26" customFormat="1" ht="100.05" customHeight="1"/>
    <row r="155" s="26" customFormat="1" ht="100.05" customHeight="1"/>
    <row r="156" s="26" customFormat="1" ht="100.05" customHeight="1"/>
    <row r="157" s="26" customFormat="1" ht="100.05" customHeight="1"/>
    <row r="158" s="26" customFormat="1" ht="100.05" customHeight="1"/>
    <row r="159" s="26" customFormat="1" ht="100.05" customHeight="1"/>
    <row r="160" s="26" customFormat="1" ht="100.05" customHeight="1"/>
    <row r="161" s="26" customFormat="1" ht="100.05" customHeight="1"/>
    <row r="162" s="26" customFormat="1" ht="100.05" customHeight="1"/>
    <row r="163" s="26" customFormat="1" ht="100.05" customHeight="1"/>
    <row r="164" s="26" customFormat="1" ht="100.05" customHeight="1"/>
    <row r="165" s="26" customFormat="1" ht="100.05" customHeight="1"/>
    <row r="166" s="26" customFormat="1" ht="100.05" customHeight="1"/>
    <row r="167" s="26" customFormat="1" ht="100.05" customHeight="1"/>
    <row r="168" s="26" customFormat="1" ht="100.05" customHeight="1"/>
    <row r="169" s="26" customFormat="1" ht="100.05" customHeight="1"/>
    <row r="170" s="26" customFormat="1" ht="100.05" customHeight="1"/>
    <row r="171" s="26" customFormat="1" ht="100.05" customHeight="1"/>
    <row r="172" s="26" customFormat="1" ht="100.05" customHeight="1"/>
    <row r="173" s="26" customFormat="1" ht="100.05" customHeight="1"/>
    <row r="174" s="26" customFormat="1" ht="100.05" customHeight="1"/>
    <row r="175" s="26" customFormat="1" ht="100.05" customHeight="1"/>
    <row r="176" s="26" customFormat="1" ht="100.05" customHeight="1"/>
    <row r="177" s="26" customFormat="1" ht="100.05" customHeight="1"/>
    <row r="178" s="26" customFormat="1" ht="100.05" customHeight="1"/>
    <row r="179" s="26" customFormat="1" ht="100.05" customHeight="1"/>
    <row r="180" s="26" customFormat="1" ht="100.05" customHeight="1"/>
    <row r="181" s="26" customFormat="1" ht="100.05" customHeight="1"/>
    <row r="182" s="26" customFormat="1" ht="100.05" customHeight="1"/>
    <row r="183" s="26" customFormat="1" ht="100.05" customHeight="1"/>
    <row r="184" s="26" customFormat="1" ht="100.05" customHeight="1"/>
    <row r="185" s="26" customFormat="1" ht="100.05" customHeight="1"/>
    <row r="186" s="26" customFormat="1" ht="100.05" customHeight="1"/>
    <row r="187" s="26" customFormat="1" ht="100.05" customHeight="1"/>
    <row r="188" s="26" customFormat="1" ht="100.05" customHeight="1"/>
    <row r="189" s="26" customFormat="1" ht="100.05" customHeight="1"/>
    <row r="190" s="26" customFormat="1" ht="100.05" customHeight="1"/>
    <row r="191" s="26" customFormat="1" ht="100.05" customHeight="1"/>
    <row r="192" s="26" customFormat="1" ht="100.05" customHeight="1"/>
    <row r="193" s="26" customFormat="1" ht="100.05" customHeight="1"/>
    <row r="194" s="26" customFormat="1" ht="100.05" customHeight="1"/>
    <row r="195" s="26" customFormat="1" ht="100.05" customHeight="1"/>
    <row r="196" s="26" customFormat="1" ht="100.05" customHeight="1"/>
    <row r="197" s="26" customFormat="1" ht="100.05" customHeight="1"/>
    <row r="198" s="26" customFormat="1" ht="100.05" customHeight="1"/>
    <row r="199" s="26" customFormat="1" ht="100.05" customHeight="1"/>
    <row r="200" s="26" customFormat="1" ht="100.05" customHeight="1"/>
    <row r="201" s="26" customFormat="1" ht="100.05" customHeight="1"/>
    <row r="202" s="26" customFormat="1" ht="100.05" customHeight="1"/>
    <row r="203" s="26" customFormat="1" ht="100.05" customHeight="1"/>
    <row r="204" s="26" customFormat="1" ht="100.05" customHeight="1"/>
    <row r="205" s="26" customFormat="1" ht="100.05" customHeight="1"/>
    <row r="206" s="26" customFormat="1" ht="100.05" customHeight="1"/>
    <row r="207" s="26" customFormat="1" ht="100.05" customHeight="1"/>
    <row r="208" s="26" customFormat="1" ht="100.05" customHeight="1"/>
    <row r="209" s="26" customFormat="1" ht="100.05" customHeight="1"/>
    <row r="210" s="26" customFormat="1" ht="100.05" customHeight="1"/>
    <row r="211" s="26" customFormat="1" ht="100.05" customHeight="1"/>
    <row r="212" s="26" customFormat="1" ht="100.05" customHeight="1"/>
    <row r="213" s="26" customFormat="1" ht="100.05" customHeight="1"/>
    <row r="214" s="26" customFormat="1" ht="100.05" customHeight="1"/>
    <row r="215" s="26" customFormat="1" ht="100.05" customHeight="1"/>
    <row r="216" s="26" customFormat="1" ht="100.05" customHeight="1"/>
    <row r="217" s="26" customFormat="1" ht="100.05" customHeight="1"/>
    <row r="218" s="26" customFormat="1" ht="100.05" customHeight="1"/>
    <row r="219" s="26" customFormat="1" ht="100.05" customHeight="1"/>
    <row r="220" s="26" customFormat="1" ht="100.05" customHeight="1"/>
    <row r="221" s="26" customFormat="1" ht="100.05" customHeight="1"/>
    <row r="222" s="26" customFormat="1" ht="100.05" customHeight="1"/>
    <row r="223" s="26" customFormat="1" ht="100.05" customHeight="1"/>
    <row r="224" s="26" customFormat="1" ht="100.05" customHeight="1"/>
    <row r="225" s="26" customFormat="1" ht="100.05" customHeight="1"/>
    <row r="226" s="26" customFormat="1" ht="100.05" customHeight="1"/>
    <row r="227" s="26" customFormat="1" ht="100.05" customHeight="1"/>
    <row r="228" s="26" customFormat="1" ht="100.05" customHeight="1"/>
    <row r="229" s="26" customFormat="1" ht="100.05" customHeight="1"/>
    <row r="230" s="26" customFormat="1" ht="100.05" customHeight="1"/>
    <row r="231" s="26" customFormat="1" ht="100.05" customHeight="1"/>
    <row r="232" s="26" customFormat="1" ht="100.05" customHeight="1"/>
    <row r="233" s="26" customFormat="1" ht="100.05" customHeight="1"/>
    <row r="234" s="26" customFormat="1" ht="100.05" customHeight="1"/>
    <row r="235" s="26" customFormat="1" ht="100.05" customHeight="1"/>
    <row r="236" s="26" customFormat="1" ht="100.05" customHeight="1"/>
    <row r="237" s="26" customFormat="1" ht="100.05" customHeight="1"/>
    <row r="238" s="26" customFormat="1" ht="100.05" customHeight="1"/>
    <row r="239" s="26" customFormat="1" ht="100.05" customHeight="1"/>
    <row r="240" s="26" customFormat="1" ht="100.05" customHeight="1"/>
    <row r="241" s="26" customFormat="1" ht="100.05" customHeight="1"/>
    <row r="242" s="26" customFormat="1" ht="100.05" customHeight="1"/>
    <row r="243" s="26" customFormat="1" ht="100.05" customHeight="1"/>
    <row r="244" s="26" customFormat="1" ht="100.05" customHeight="1"/>
    <row r="245" s="26" customFormat="1" ht="100.05" customHeight="1"/>
    <row r="246" s="26" customFormat="1" ht="100.05" customHeight="1"/>
    <row r="247" s="26" customFormat="1" ht="100.05" customHeight="1"/>
    <row r="248" s="26" customFormat="1" ht="100.05" customHeight="1"/>
    <row r="249" s="26" customFormat="1" ht="100.05" customHeight="1"/>
    <row r="250" s="26" customFormat="1" ht="100.05" customHeight="1"/>
    <row r="251" s="26" customFormat="1" ht="100.05" customHeight="1"/>
    <row r="252" s="26" customFormat="1" ht="100.05" customHeight="1"/>
    <row r="253" s="26" customFormat="1" ht="100.05" customHeight="1"/>
    <row r="254" s="26" customFormat="1" ht="100.05" customHeight="1"/>
    <row r="255" s="26" customFormat="1" ht="100.05" customHeight="1"/>
    <row r="256" s="26" customFormat="1" ht="100.05" customHeight="1"/>
  </sheetData>
  <mergeCells count="10">
    <mergeCell ref="C10:E10"/>
    <mergeCell ref="A1:E1"/>
    <mergeCell ref="A2:E2"/>
    <mergeCell ref="C3:E3"/>
    <mergeCell ref="C4:E4"/>
    <mergeCell ref="C5:E5"/>
    <mergeCell ref="C6:E6"/>
    <mergeCell ref="C7:E7"/>
    <mergeCell ref="A8:E8"/>
    <mergeCell ref="A9:E9"/>
  </mergeCells>
  <phoneticPr fontId="13" type="noConversion"/>
  <pageMargins left="0.66874999999999996" right="7.8472222222222193E-2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V46"/>
  <sheetViews>
    <sheetView tabSelected="1" view="pageBreakPreview" zoomScale="60" zoomScaleNormal="120" workbookViewId="0">
      <selection activeCell="H6" sqref="H6"/>
    </sheetView>
  </sheetViews>
  <sheetFormatPr defaultRowHeight="12"/>
  <cols>
    <col min="1" max="1" width="7.296875" style="7" customWidth="1"/>
    <col min="2" max="2" width="26.19921875" style="8" customWidth="1"/>
    <col min="3" max="3" width="10" style="7" customWidth="1"/>
    <col min="4" max="4" width="9.5" style="7" customWidth="1"/>
    <col min="5" max="5" width="8.3984375" style="7" customWidth="1"/>
    <col min="6" max="6" width="8.59765625" style="7" customWidth="1"/>
    <col min="7" max="7" width="9.8984375" style="7" customWidth="1"/>
    <col min="8" max="8" width="5" style="7" customWidth="1"/>
    <col min="9" max="9" width="12" style="7" customWidth="1"/>
    <col min="10" max="10" width="11.69921875" style="7" customWidth="1"/>
    <col min="11" max="11" width="10.3984375" style="9" customWidth="1"/>
    <col min="12" max="12" width="11.59765625" style="10" customWidth="1"/>
    <col min="13" max="13" width="8.59765625" style="1" customWidth="1"/>
    <col min="14" max="16384" width="8.796875" style="1"/>
  </cols>
  <sheetData>
    <row r="1" spans="1:12" ht="17.399999999999999">
      <c r="A1" s="36" t="s">
        <v>95</v>
      </c>
    </row>
    <row r="2" spans="1:12" ht="26.25" customHeight="1">
      <c r="A2" s="77" t="s">
        <v>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2" customFormat="1" ht="18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3" customFormat="1" ht="18" customHeight="1">
      <c r="A4" s="80" t="s">
        <v>32</v>
      </c>
      <c r="B4" s="81" t="s">
        <v>33</v>
      </c>
      <c r="C4" s="80" t="s">
        <v>34</v>
      </c>
      <c r="D4" s="80"/>
      <c r="E4" s="80"/>
      <c r="F4" s="80"/>
      <c r="G4" s="80" t="s">
        <v>35</v>
      </c>
      <c r="H4" s="80" t="s">
        <v>36</v>
      </c>
      <c r="I4" s="80"/>
      <c r="J4" s="80"/>
      <c r="K4" s="83" t="s">
        <v>37</v>
      </c>
      <c r="L4" s="80" t="s">
        <v>38</v>
      </c>
    </row>
    <row r="5" spans="1:12" s="3" customFormat="1" ht="18" customHeight="1">
      <c r="A5" s="80"/>
      <c r="B5" s="82"/>
      <c r="C5" s="11" t="s">
        <v>39</v>
      </c>
      <c r="D5" s="11" t="s">
        <v>40</v>
      </c>
      <c r="E5" s="11" t="s">
        <v>41</v>
      </c>
      <c r="F5" s="11" t="s">
        <v>42</v>
      </c>
      <c r="G5" s="80"/>
      <c r="H5" s="11" t="s">
        <v>43</v>
      </c>
      <c r="I5" s="11" t="s">
        <v>44</v>
      </c>
      <c r="J5" s="11" t="s">
        <v>45</v>
      </c>
      <c r="K5" s="83"/>
      <c r="L5" s="80"/>
    </row>
    <row r="6" spans="1:12" s="2" customFormat="1" ht="18" customHeight="1">
      <c r="A6" s="11"/>
      <c r="B6" s="11" t="s">
        <v>46</v>
      </c>
      <c r="C6" s="12">
        <f>C7</f>
        <v>2669.913654</v>
      </c>
      <c r="D6" s="12">
        <f>D7</f>
        <v>961.85570499999994</v>
      </c>
      <c r="E6" s="12">
        <f>E7</f>
        <v>238.282883</v>
      </c>
      <c r="F6" s="12">
        <f>F41</f>
        <v>299.406823345703</v>
      </c>
      <c r="G6" s="13">
        <f>SUM(C6:F6)</f>
        <v>4169.4590653456999</v>
      </c>
      <c r="H6" s="11" t="s">
        <v>47</v>
      </c>
      <c r="I6" s="19">
        <f>I8</f>
        <v>12142.6</v>
      </c>
      <c r="J6" s="12">
        <f t="shared" ref="J6:J22" si="0">G6/I6*10000</f>
        <v>3433.7448860587501</v>
      </c>
      <c r="K6" s="12">
        <f t="shared" ref="K6:K22" si="1">G6/$G$6*100</f>
        <v>100</v>
      </c>
      <c r="L6" s="11"/>
    </row>
    <row r="7" spans="1:12" s="2" customFormat="1" ht="18" customHeight="1">
      <c r="A7" s="11" t="s">
        <v>48</v>
      </c>
      <c r="B7" s="14" t="s">
        <v>49</v>
      </c>
      <c r="C7" s="12">
        <f>SUM(C8:C21)</f>
        <v>2669.913654</v>
      </c>
      <c r="D7" s="12">
        <f>SUM(D8:D21)</f>
        <v>961.85570499999994</v>
      </c>
      <c r="E7" s="12">
        <f>SUM(E8:E21)</f>
        <v>238.282883</v>
      </c>
      <c r="F7" s="12"/>
      <c r="G7" s="13">
        <f>SUM(C22:F22)</f>
        <v>3870.0522420000002</v>
      </c>
      <c r="H7" s="11" t="s">
        <v>47</v>
      </c>
      <c r="I7" s="19">
        <f>I6</f>
        <v>12142.6</v>
      </c>
      <c r="J7" s="12">
        <f t="shared" si="0"/>
        <v>3187.1693393507198</v>
      </c>
      <c r="K7" s="12">
        <f t="shared" si="1"/>
        <v>92.819048738619102</v>
      </c>
      <c r="L7" s="11"/>
    </row>
    <row r="8" spans="1:12" s="4" customFormat="1" ht="18" customHeight="1">
      <c r="A8" s="15" t="s">
        <v>50</v>
      </c>
      <c r="B8" s="16" t="s">
        <v>51</v>
      </c>
      <c r="C8" s="13"/>
      <c r="D8" s="13"/>
      <c r="E8" s="13"/>
      <c r="F8" s="13"/>
      <c r="G8" s="13">
        <f>SUM(G9:G12)</f>
        <v>3288.5423249999999</v>
      </c>
      <c r="H8" s="11" t="s">
        <v>47</v>
      </c>
      <c r="I8" s="19">
        <v>12142.6</v>
      </c>
      <c r="J8" s="12">
        <f t="shared" si="0"/>
        <v>2708.2686780425902</v>
      </c>
      <c r="K8" s="12">
        <f t="shared" si="1"/>
        <v>78.872157597914594</v>
      </c>
      <c r="L8" s="15"/>
    </row>
    <row r="9" spans="1:12" s="2" customFormat="1" ht="18" customHeight="1">
      <c r="A9" s="11">
        <v>1</v>
      </c>
      <c r="B9" s="14" t="s">
        <v>39</v>
      </c>
      <c r="C9" s="12">
        <f>23968646.76/10000</f>
        <v>2396.8646760000001</v>
      </c>
      <c r="D9" s="12"/>
      <c r="E9" s="12"/>
      <c r="F9" s="12"/>
      <c r="G9" s="12">
        <f>C9+D9+E9+F9</f>
        <v>2396.8646760000001</v>
      </c>
      <c r="H9" s="11" t="s">
        <v>47</v>
      </c>
      <c r="I9" s="19">
        <v>12142.6</v>
      </c>
      <c r="J9" s="12">
        <f t="shared" si="0"/>
        <v>1973.9303575840399</v>
      </c>
      <c r="K9" s="12">
        <f t="shared" si="1"/>
        <v>57.486226352992603</v>
      </c>
      <c r="L9" s="11"/>
    </row>
    <row r="10" spans="1:12" s="2" customFormat="1" ht="18" customHeight="1">
      <c r="A10" s="11">
        <v>2</v>
      </c>
      <c r="B10" s="14" t="s">
        <v>52</v>
      </c>
      <c r="C10" s="12"/>
      <c r="D10" s="12">
        <f>(683054.42-31500)/10000</f>
        <v>65.155441999999994</v>
      </c>
      <c r="E10" s="12">
        <f>31500/10000</f>
        <v>3.15</v>
      </c>
      <c r="F10" s="12"/>
      <c r="G10" s="12">
        <f>C10+D10+E10+F10</f>
        <v>68.305441999999999</v>
      </c>
      <c r="H10" s="11" t="s">
        <v>47</v>
      </c>
      <c r="I10" s="19">
        <v>12142.6</v>
      </c>
      <c r="J10" s="12">
        <f t="shared" si="0"/>
        <v>56.252731704906701</v>
      </c>
      <c r="K10" s="12">
        <f t="shared" si="1"/>
        <v>1.6382327042785501</v>
      </c>
      <c r="L10" s="11"/>
    </row>
    <row r="11" spans="1:12" s="2" customFormat="1" ht="18" customHeight="1">
      <c r="A11" s="11">
        <v>3</v>
      </c>
      <c r="B11" s="14" t="s">
        <v>53</v>
      </c>
      <c r="C11" s="12"/>
      <c r="D11" s="12">
        <f>(1441395.74-65481.6)/10000</f>
        <v>137.59141399999999</v>
      </c>
      <c r="E11" s="12">
        <f>65481.6/10000</f>
        <v>6.5481600000000002</v>
      </c>
      <c r="F11" s="12"/>
      <c r="G11" s="12">
        <f>C11+D11+E11+F11</f>
        <v>144.13957400000001</v>
      </c>
      <c r="H11" s="11" t="s">
        <v>47</v>
      </c>
      <c r="I11" s="19">
        <v>12142.6</v>
      </c>
      <c r="J11" s="12">
        <f t="shared" si="0"/>
        <v>118.705692355838</v>
      </c>
      <c r="K11" s="12">
        <f t="shared" si="1"/>
        <v>3.4570329565772799</v>
      </c>
      <c r="L11" s="11"/>
    </row>
    <row r="12" spans="1:12" s="2" customFormat="1" ht="18" customHeight="1">
      <c r="A12" s="11">
        <v>4</v>
      </c>
      <c r="B12" s="14" t="s">
        <v>54</v>
      </c>
      <c r="C12" s="12"/>
      <c r="D12" s="12">
        <f>(6792326.33-1603785.23)/10000</f>
        <v>518.85410999999999</v>
      </c>
      <c r="E12" s="12">
        <f>1603785.23/10000</f>
        <v>160.378523</v>
      </c>
      <c r="F12" s="12"/>
      <c r="G12" s="12">
        <f>C12+D12+E12+F12</f>
        <v>679.23263299999996</v>
      </c>
      <c r="H12" s="11" t="s">
        <v>47</v>
      </c>
      <c r="I12" s="19">
        <v>12142.6</v>
      </c>
      <c r="J12" s="12">
        <f t="shared" si="0"/>
        <v>559.37989639780596</v>
      </c>
      <c r="K12" s="12">
        <f t="shared" si="1"/>
        <v>16.2906655840662</v>
      </c>
      <c r="L12" s="11"/>
    </row>
    <row r="13" spans="1:12" s="4" customFormat="1" ht="18" customHeight="1">
      <c r="A13" s="15" t="s">
        <v>55</v>
      </c>
      <c r="B13" s="16" t="s">
        <v>56</v>
      </c>
      <c r="C13" s="13"/>
      <c r="D13" s="13"/>
      <c r="E13" s="13"/>
      <c r="F13" s="13"/>
      <c r="G13" s="13">
        <f>SUM(G14:G14)</f>
        <v>31.336331000000001</v>
      </c>
      <c r="H13" s="11" t="s">
        <v>47</v>
      </c>
      <c r="I13" s="19">
        <v>5000</v>
      </c>
      <c r="J13" s="12">
        <f t="shared" si="0"/>
        <v>62.672662000000003</v>
      </c>
      <c r="K13" s="12">
        <f t="shared" si="1"/>
        <v>0.75156826122723497</v>
      </c>
      <c r="L13" s="15"/>
    </row>
    <row r="14" spans="1:12" s="2" customFormat="1" ht="18" customHeight="1">
      <c r="A14" s="11">
        <v>1</v>
      </c>
      <c r="B14" s="14" t="s">
        <v>57</v>
      </c>
      <c r="C14" s="12">
        <f>313363.31/10000</f>
        <v>31.336331000000001</v>
      </c>
      <c r="D14" s="12"/>
      <c r="E14" s="12"/>
      <c r="F14" s="12"/>
      <c r="G14" s="12">
        <f>C14+D14+E14+F14</f>
        <v>31.336331000000001</v>
      </c>
      <c r="H14" s="11" t="s">
        <v>47</v>
      </c>
      <c r="I14" s="19">
        <v>5000</v>
      </c>
      <c r="J14" s="12">
        <f t="shared" si="0"/>
        <v>62.672662000000003</v>
      </c>
      <c r="K14" s="12">
        <f t="shared" si="1"/>
        <v>0.75156826122723497</v>
      </c>
      <c r="L14" s="11"/>
    </row>
    <row r="15" spans="1:12" s="4" customFormat="1" ht="18" customHeight="1">
      <c r="A15" s="15" t="s">
        <v>58</v>
      </c>
      <c r="B15" s="16" t="s">
        <v>59</v>
      </c>
      <c r="C15" s="13"/>
      <c r="D15" s="13"/>
      <c r="E15" s="13"/>
      <c r="F15" s="13"/>
      <c r="G15" s="13">
        <f>G16+G18</f>
        <v>550.173586</v>
      </c>
      <c r="H15" s="11" t="s">
        <v>47</v>
      </c>
      <c r="I15" s="19">
        <f>I6</f>
        <v>12142.6</v>
      </c>
      <c r="J15" s="12">
        <f t="shared" si="0"/>
        <v>453.09372457299099</v>
      </c>
      <c r="K15" s="12">
        <f t="shared" si="1"/>
        <v>13.195322879477301</v>
      </c>
      <c r="L15" s="15"/>
    </row>
    <row r="16" spans="1:12" s="4" customFormat="1" ht="18" customHeight="1">
      <c r="A16" s="15">
        <v>1</v>
      </c>
      <c r="B16" s="16" t="s">
        <v>60</v>
      </c>
      <c r="C16" s="13"/>
      <c r="D16" s="13"/>
      <c r="E16" s="13"/>
      <c r="F16" s="13"/>
      <c r="G16" s="13">
        <f>SUM(G17:G17)</f>
        <v>241.712647</v>
      </c>
      <c r="H16" s="11" t="s">
        <v>47</v>
      </c>
      <c r="I16" s="19">
        <f>I7</f>
        <v>12142.6</v>
      </c>
      <c r="J16" s="12">
        <f t="shared" si="0"/>
        <v>199.06168942401101</v>
      </c>
      <c r="K16" s="12">
        <f t="shared" si="1"/>
        <v>5.7972183732174098</v>
      </c>
      <c r="L16" s="15"/>
    </row>
    <row r="17" spans="1:207" s="5" customFormat="1" ht="19.5" customHeight="1">
      <c r="A17" s="17" t="s">
        <v>61</v>
      </c>
      <c r="B17" s="14" t="s">
        <v>60</v>
      </c>
      <c r="C17" s="12">
        <f>2417126.47/10000</f>
        <v>241.712647</v>
      </c>
      <c r="D17" s="12"/>
      <c r="E17" s="12"/>
      <c r="F17" s="12"/>
      <c r="G17" s="12">
        <f>C17+D17+E17+F17</f>
        <v>241.712647</v>
      </c>
      <c r="H17" s="11" t="s">
        <v>47</v>
      </c>
      <c r="I17" s="19">
        <f>I8</f>
        <v>12142.6</v>
      </c>
      <c r="J17" s="12">
        <f t="shared" si="0"/>
        <v>199.06168942401101</v>
      </c>
      <c r="K17" s="12">
        <f t="shared" si="1"/>
        <v>5.7972183732174098</v>
      </c>
      <c r="L17" s="2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</row>
    <row r="18" spans="1:207" s="4" customFormat="1" ht="18" customHeight="1">
      <c r="A18" s="15">
        <v>2</v>
      </c>
      <c r="B18" s="16" t="s">
        <v>62</v>
      </c>
      <c r="C18" s="13"/>
      <c r="D18" s="13"/>
      <c r="E18" s="13"/>
      <c r="F18" s="13"/>
      <c r="G18" s="13">
        <f>SUM(G19:G21)</f>
        <v>308.460939</v>
      </c>
      <c r="H18" s="11" t="s">
        <v>47</v>
      </c>
      <c r="I18" s="19">
        <f>I9</f>
        <v>12142.6</v>
      </c>
      <c r="J18" s="12">
        <f t="shared" si="0"/>
        <v>254.03203514897999</v>
      </c>
      <c r="K18" s="12">
        <f t="shared" si="1"/>
        <v>7.3981045062598403</v>
      </c>
      <c r="L18" s="15"/>
    </row>
    <row r="19" spans="1:207" s="2" customFormat="1" ht="18" customHeight="1">
      <c r="A19" s="17" t="s">
        <v>63</v>
      </c>
      <c r="B19" s="14" t="s">
        <v>64</v>
      </c>
      <c r="C19" s="12"/>
      <c r="D19" s="12">
        <f>(859866.36-28000)/10000</f>
        <v>83.186635999999993</v>
      </c>
      <c r="E19" s="12">
        <f>28000/10000</f>
        <v>2.8</v>
      </c>
      <c r="F19" s="12"/>
      <c r="G19" s="12">
        <f>C19+D19+E19+F19</f>
        <v>85.986636000000004</v>
      </c>
      <c r="H19" s="11" t="s">
        <v>47</v>
      </c>
      <c r="I19" s="19">
        <f>I6</f>
        <v>12142.6</v>
      </c>
      <c r="J19" s="12">
        <f t="shared" si="0"/>
        <v>70.814023355788706</v>
      </c>
      <c r="K19" s="12">
        <f t="shared" si="1"/>
        <v>2.0622971625905802</v>
      </c>
      <c r="L19" s="11"/>
    </row>
    <row r="20" spans="1:207" s="6" customFormat="1" ht="18" customHeight="1">
      <c r="A20" s="17" t="s">
        <v>65</v>
      </c>
      <c r="B20" s="14" t="s">
        <v>66</v>
      </c>
      <c r="C20" s="12"/>
      <c r="D20" s="12">
        <f>492193.93/10000</f>
        <v>49.219392999999997</v>
      </c>
      <c r="E20" s="12"/>
      <c r="F20" s="12"/>
      <c r="G20" s="12">
        <f>C20+D20+E20+F20</f>
        <v>49.219392999999997</v>
      </c>
      <c r="H20" s="11" t="s">
        <v>47</v>
      </c>
      <c r="I20" s="19">
        <f>I6</f>
        <v>12142.6</v>
      </c>
      <c r="J20" s="12">
        <f t="shared" si="0"/>
        <v>40.534476141847698</v>
      </c>
      <c r="K20" s="12">
        <f t="shared" si="1"/>
        <v>1.1804743068251999</v>
      </c>
      <c r="L20" s="11"/>
    </row>
    <row r="21" spans="1:207" s="6" customFormat="1" ht="18" customHeight="1">
      <c r="A21" s="17" t="s">
        <v>67</v>
      </c>
      <c r="B21" s="14" t="s">
        <v>68</v>
      </c>
      <c r="C21" s="12"/>
      <c r="D21" s="12">
        <f>(1732549.1-654062)/10000</f>
        <v>107.84871</v>
      </c>
      <c r="E21" s="12">
        <f>654062/10000</f>
        <v>65.406199999999998</v>
      </c>
      <c r="F21" s="12"/>
      <c r="G21" s="12">
        <f>C21+D21+E21+F21</f>
        <v>173.25491</v>
      </c>
      <c r="H21" s="11" t="s">
        <v>47</v>
      </c>
      <c r="I21" s="19">
        <f>I6</f>
        <v>12142.6</v>
      </c>
      <c r="J21" s="12">
        <f t="shared" si="0"/>
        <v>142.68353565134299</v>
      </c>
      <c r="K21" s="12">
        <f t="shared" si="1"/>
        <v>4.1553330368440697</v>
      </c>
      <c r="L21" s="11"/>
    </row>
    <row r="22" spans="1:207" s="2" customFormat="1" ht="18" customHeight="1">
      <c r="A22" s="11"/>
      <c r="B22" s="14" t="s">
        <v>69</v>
      </c>
      <c r="C22" s="12">
        <f>SUM(C9:C21)</f>
        <v>2669.913654</v>
      </c>
      <c r="D22" s="12">
        <f>SUM(D9:D21)</f>
        <v>961.85570499999994</v>
      </c>
      <c r="E22" s="12">
        <f>SUM(E9:E21)</f>
        <v>238.282883</v>
      </c>
      <c r="F22" s="12">
        <f>SUM(F9:F21)</f>
        <v>0</v>
      </c>
      <c r="G22" s="13">
        <f>SUM(C22:F22)</f>
        <v>3870.0522420000002</v>
      </c>
      <c r="H22" s="11" t="s">
        <v>47</v>
      </c>
      <c r="I22" s="19">
        <f>I6</f>
        <v>12142.6</v>
      </c>
      <c r="J22" s="12">
        <f t="shared" si="0"/>
        <v>3187.1693393507198</v>
      </c>
      <c r="K22" s="12">
        <f t="shared" si="1"/>
        <v>92.819048738619102</v>
      </c>
      <c r="L22" s="11"/>
    </row>
    <row r="23" spans="1:207" s="2" customFormat="1" ht="18" customHeight="1">
      <c r="A23" s="11" t="s">
        <v>70</v>
      </c>
      <c r="B23" s="14" t="s">
        <v>71</v>
      </c>
      <c r="C23" s="12"/>
      <c r="D23" s="12"/>
      <c r="E23" s="12"/>
      <c r="F23" s="12"/>
      <c r="G23" s="12"/>
      <c r="H23" s="11"/>
      <c r="I23" s="19"/>
      <c r="J23" s="19"/>
      <c r="K23" s="12"/>
      <c r="L23" s="11"/>
    </row>
    <row r="24" spans="1:207" s="2" customFormat="1" ht="24" customHeight="1">
      <c r="A24" s="11">
        <v>1</v>
      </c>
      <c r="B24" s="14" t="s">
        <v>72</v>
      </c>
      <c r="C24" s="11"/>
      <c r="D24" s="12"/>
      <c r="E24" s="12"/>
      <c r="F24" s="18">
        <f>(103.8+(163.9-103.8)/(5000-3000)*(G22-3000))*0.33</f>
        <v>42.881873057793001</v>
      </c>
      <c r="G24" s="12">
        <f t="shared" ref="G24:G36" si="2">F24</f>
        <v>42.881873057793001</v>
      </c>
      <c r="H24" s="11"/>
      <c r="I24" s="19"/>
      <c r="J24" s="19" t="s">
        <v>73</v>
      </c>
      <c r="K24" s="12">
        <f t="shared" ref="K24:K39" si="3">G24/$G$6*100</f>
        <v>1.0284756939863999</v>
      </c>
      <c r="L24" s="24"/>
    </row>
    <row r="25" spans="1:207" s="2" customFormat="1" ht="18" customHeight="1">
      <c r="A25" s="11">
        <v>2</v>
      </c>
      <c r="B25" s="14" t="s">
        <v>74</v>
      </c>
      <c r="C25" s="11"/>
      <c r="D25" s="12"/>
      <c r="E25" s="12"/>
      <c r="F25" s="18">
        <f>G22*0.52%</f>
        <v>20.124271658400001</v>
      </c>
      <c r="G25" s="12">
        <f t="shared" si="2"/>
        <v>20.124271658400001</v>
      </c>
      <c r="H25" s="11"/>
      <c r="I25" s="19"/>
      <c r="J25" s="19" t="s">
        <v>73</v>
      </c>
      <c r="K25" s="12">
        <f t="shared" si="3"/>
        <v>0.482659053440819</v>
      </c>
      <c r="L25" s="11"/>
    </row>
    <row r="26" spans="1:207" s="2" customFormat="1" ht="18" customHeight="1">
      <c r="A26" s="11">
        <v>3</v>
      </c>
      <c r="B26" s="14" t="s">
        <v>75</v>
      </c>
      <c r="C26" s="12"/>
      <c r="D26" s="12"/>
      <c r="E26" s="12"/>
      <c r="F26" s="18">
        <f>(78.1+(120.8-78.1)/2000*(G$7-3000))*0.6</f>
        <v>58.00536922002</v>
      </c>
      <c r="G26" s="12">
        <f t="shared" si="2"/>
        <v>58.00536922002</v>
      </c>
      <c r="H26" s="11"/>
      <c r="I26" s="19"/>
      <c r="J26" s="19" t="s">
        <v>73</v>
      </c>
      <c r="K26" s="12">
        <f t="shared" si="3"/>
        <v>1.3911965152057599</v>
      </c>
      <c r="L26" s="11"/>
    </row>
    <row r="27" spans="1:207" s="2" customFormat="1" ht="18" customHeight="1">
      <c r="A27" s="11">
        <v>4</v>
      </c>
      <c r="B27" s="14" t="s">
        <v>76</v>
      </c>
      <c r="C27" s="12"/>
      <c r="D27" s="12"/>
      <c r="E27" s="12"/>
      <c r="F27" s="18">
        <f>(20+(G$7-1000)*1.5%)*0.2</f>
        <v>12.610156726</v>
      </c>
      <c r="G27" s="12">
        <f t="shared" si="2"/>
        <v>12.610156726</v>
      </c>
      <c r="H27" s="11"/>
      <c r="I27" s="19"/>
      <c r="J27" s="19" t="s">
        <v>73</v>
      </c>
      <c r="K27" s="12">
        <f t="shared" si="3"/>
        <v>0.30244107277149801</v>
      </c>
      <c r="L27" s="11"/>
    </row>
    <row r="28" spans="1:207" s="2" customFormat="1" ht="18" customHeight="1">
      <c r="A28" s="11">
        <v>5</v>
      </c>
      <c r="B28" s="14" t="s">
        <v>77</v>
      </c>
      <c r="C28" s="12"/>
      <c r="D28" s="12"/>
      <c r="E28" s="12"/>
      <c r="F28" s="18">
        <f>2.2*0.4</f>
        <v>0.88</v>
      </c>
      <c r="G28" s="12">
        <f t="shared" si="2"/>
        <v>0.88</v>
      </c>
      <c r="H28" s="11"/>
      <c r="I28" s="19"/>
      <c r="J28" s="19" t="s">
        <v>78</v>
      </c>
      <c r="K28" s="12">
        <f t="shared" si="3"/>
        <v>2.1105855368963498E-2</v>
      </c>
      <c r="L28" s="11"/>
    </row>
    <row r="29" spans="1:207" s="2" customFormat="1" ht="18" customHeight="1">
      <c r="A29" s="11">
        <v>6</v>
      </c>
      <c r="B29" s="14" t="s">
        <v>79</v>
      </c>
      <c r="C29" s="12"/>
      <c r="D29" s="12"/>
      <c r="E29" s="12"/>
      <c r="F29" s="18">
        <f>(6.55+(G$7-1000)*0.35%)*0.5</f>
        <v>8.2975914235000001</v>
      </c>
      <c r="G29" s="12">
        <f t="shared" si="2"/>
        <v>8.2975914235000001</v>
      </c>
      <c r="H29" s="11"/>
      <c r="I29" s="19"/>
      <c r="J29" s="19" t="s">
        <v>73</v>
      </c>
      <c r="K29" s="12">
        <f t="shared" si="3"/>
        <v>0.19900882328993499</v>
      </c>
      <c r="L29" s="11"/>
    </row>
    <row r="30" spans="1:207" s="2" customFormat="1" ht="18" customHeight="1">
      <c r="A30" s="11">
        <v>7</v>
      </c>
      <c r="B30" s="14" t="s">
        <v>80</v>
      </c>
      <c r="C30" s="12"/>
      <c r="D30" s="12"/>
      <c r="E30" s="12"/>
      <c r="F30" s="18">
        <f>I6*1.5/10000</f>
        <v>1.8213900000000001</v>
      </c>
      <c r="G30" s="12">
        <f t="shared" si="2"/>
        <v>1.8213900000000001</v>
      </c>
      <c r="H30" s="11"/>
      <c r="I30" s="19"/>
      <c r="J30" s="19" t="s">
        <v>81</v>
      </c>
      <c r="K30" s="12">
        <f t="shared" si="3"/>
        <v>4.3684083989177697E-2</v>
      </c>
      <c r="L30" s="11"/>
    </row>
    <row r="31" spans="1:207" s="2" customFormat="1" ht="18" customHeight="1">
      <c r="A31" s="11">
        <v>8</v>
      </c>
      <c r="B31" s="14" t="s">
        <v>82</v>
      </c>
      <c r="C31" s="12"/>
      <c r="D31" s="12"/>
      <c r="E31" s="12"/>
      <c r="F31" s="18">
        <f>(12.2+(G$7-2000)*0.48%)*0.5</f>
        <v>10.588125380799999</v>
      </c>
      <c r="G31" s="12">
        <f t="shared" si="2"/>
        <v>10.588125380799999</v>
      </c>
      <c r="H31" s="11"/>
      <c r="I31" s="19"/>
      <c r="J31" s="19" t="s">
        <v>73</v>
      </c>
      <c r="K31" s="12">
        <f t="shared" si="3"/>
        <v>0.25394482149501801</v>
      </c>
      <c r="L31" s="11"/>
    </row>
    <row r="32" spans="1:207" s="2" customFormat="1" ht="18" customHeight="1">
      <c r="A32" s="11">
        <v>9</v>
      </c>
      <c r="B32" s="14" t="s">
        <v>83</v>
      </c>
      <c r="C32" s="12"/>
      <c r="D32" s="12"/>
      <c r="E32" s="12"/>
      <c r="F32" s="18">
        <f>0.4+(2.2-0.4)/18000*(G$7-3000)</f>
        <v>0.48700522419999998</v>
      </c>
      <c r="G32" s="12">
        <f t="shared" si="2"/>
        <v>0.48700522419999998</v>
      </c>
      <c r="H32" s="11"/>
      <c r="I32" s="19"/>
      <c r="J32" s="19" t="s">
        <v>73</v>
      </c>
      <c r="K32" s="12">
        <f t="shared" si="3"/>
        <v>1.16802975294259E-2</v>
      </c>
      <c r="L32" s="11"/>
    </row>
    <row r="33" spans="1:256" s="2" customFormat="1" ht="18" customHeight="1">
      <c r="A33" s="11">
        <v>10</v>
      </c>
      <c r="B33" s="14" t="s">
        <v>84</v>
      </c>
      <c r="C33" s="12"/>
      <c r="D33" s="12"/>
      <c r="E33" s="12"/>
      <c r="F33" s="18">
        <f>2.8+(5.5-2.8)/17000*(G$7-3000)</f>
        <v>2.9381847678470598</v>
      </c>
      <c r="G33" s="12">
        <f t="shared" si="2"/>
        <v>2.9381847678470598</v>
      </c>
      <c r="H33" s="11"/>
      <c r="I33" s="19"/>
      <c r="J33" s="19" t="s">
        <v>73</v>
      </c>
      <c r="K33" s="12">
        <f t="shared" si="3"/>
        <v>7.0469207678944906E-2</v>
      </c>
      <c r="L33" s="11"/>
    </row>
    <row r="34" spans="1:256" s="2" customFormat="1" ht="22.95" customHeight="1">
      <c r="A34" s="11">
        <v>11</v>
      </c>
      <c r="B34" s="14" t="s">
        <v>85</v>
      </c>
      <c r="C34" s="12"/>
      <c r="D34" s="12"/>
      <c r="E34" s="12"/>
      <c r="F34" s="18">
        <v>4.05</v>
      </c>
      <c r="G34" s="12">
        <f t="shared" si="2"/>
        <v>4.05</v>
      </c>
      <c r="H34" s="11"/>
      <c r="I34" s="19"/>
      <c r="J34" s="19" t="s">
        <v>73</v>
      </c>
      <c r="K34" s="12">
        <f t="shared" si="3"/>
        <v>9.7134902550343197E-2</v>
      </c>
      <c r="L34" s="24"/>
    </row>
    <row r="35" spans="1:256" s="2" customFormat="1" ht="18" customHeight="1">
      <c r="A35" s="11">
        <v>12</v>
      </c>
      <c r="B35" s="14" t="s">
        <v>86</v>
      </c>
      <c r="C35" s="12"/>
      <c r="D35" s="12"/>
      <c r="E35" s="12"/>
      <c r="F35" s="18">
        <f>5+(10-5)/7000*(G$7-3000)</f>
        <v>5.6214658871428602</v>
      </c>
      <c r="G35" s="12">
        <f t="shared" si="2"/>
        <v>5.6214658871428602</v>
      </c>
      <c r="H35" s="11"/>
      <c r="I35" s="19"/>
      <c r="J35" s="19" t="s">
        <v>73</v>
      </c>
      <c r="K35" s="12">
        <f t="shared" si="3"/>
        <v>0.13482482497227199</v>
      </c>
      <c r="L35" s="11"/>
    </row>
    <row r="36" spans="1:256" s="2" customFormat="1" ht="19.95" customHeight="1">
      <c r="A36" s="11">
        <v>13</v>
      </c>
      <c r="B36" s="14" t="s">
        <v>87</v>
      </c>
      <c r="C36" s="12"/>
      <c r="D36" s="12"/>
      <c r="E36" s="12"/>
      <c r="F36" s="12">
        <f>I6*1.5/10000</f>
        <v>1.8213900000000001</v>
      </c>
      <c r="G36" s="12">
        <f t="shared" si="2"/>
        <v>1.8213900000000001</v>
      </c>
      <c r="H36" s="11"/>
      <c r="I36" s="19"/>
      <c r="J36" s="19" t="s">
        <v>81</v>
      </c>
      <c r="K36" s="12">
        <f t="shared" si="3"/>
        <v>4.3684083989177697E-2</v>
      </c>
      <c r="L36" s="11"/>
    </row>
    <row r="37" spans="1:256" s="2" customFormat="1" ht="21" customHeight="1">
      <c r="A37" s="11"/>
      <c r="B37" s="14" t="s">
        <v>88</v>
      </c>
      <c r="C37" s="12"/>
      <c r="D37" s="12"/>
      <c r="E37" s="12"/>
      <c r="F37" s="12">
        <f>SUM(F24:F36)</f>
        <v>170.126823345703</v>
      </c>
      <c r="G37" s="12">
        <f>SUM(G24:G36)</f>
        <v>170.126823345703</v>
      </c>
      <c r="H37" s="11" t="s">
        <v>47</v>
      </c>
      <c r="I37" s="19">
        <f>I6</f>
        <v>12142.6</v>
      </c>
      <c r="J37" s="12">
        <f>G37/I37*10000</f>
        <v>140.10740973572601</v>
      </c>
      <c r="K37" s="12">
        <f t="shared" si="3"/>
        <v>4.0803092362677296</v>
      </c>
      <c r="L37" s="11"/>
    </row>
    <row r="38" spans="1:256" s="2" customFormat="1" ht="19.95" customHeight="1">
      <c r="A38" s="11" t="s">
        <v>89</v>
      </c>
      <c r="B38" s="14" t="s">
        <v>90</v>
      </c>
      <c r="C38" s="12"/>
      <c r="D38" s="12"/>
      <c r="E38" s="12"/>
      <c r="F38" s="12">
        <v>129.28</v>
      </c>
      <c r="G38" s="12">
        <v>129.28</v>
      </c>
      <c r="H38" s="11" t="s">
        <v>47</v>
      </c>
      <c r="I38" s="19">
        <f>I7</f>
        <v>12142.6</v>
      </c>
      <c r="J38" s="12">
        <f>G38/I38*10000</f>
        <v>106.468136972312</v>
      </c>
      <c r="K38" s="12">
        <f t="shared" si="3"/>
        <v>3.1006420251131801</v>
      </c>
      <c r="L38" s="11"/>
    </row>
    <row r="39" spans="1:256" s="2" customFormat="1" ht="18" customHeight="1">
      <c r="A39" s="11">
        <v>1</v>
      </c>
      <c r="B39" s="14" t="s">
        <v>90</v>
      </c>
      <c r="C39" s="12"/>
      <c r="D39" s="12"/>
      <c r="E39" s="12"/>
      <c r="F39" s="12">
        <f>(G22+G37)*2.2%</f>
        <v>88.883939437605505</v>
      </c>
      <c r="G39" s="12">
        <f>F39</f>
        <v>88.883939437605505</v>
      </c>
      <c r="H39" s="11"/>
      <c r="I39" s="19"/>
      <c r="J39" s="12"/>
      <c r="K39" s="12">
        <f t="shared" si="3"/>
        <v>2.1317858754475099</v>
      </c>
      <c r="L39" s="11"/>
    </row>
    <row r="40" spans="1:256" s="2" customFormat="1" ht="18" customHeight="1">
      <c r="A40" s="11">
        <v>2</v>
      </c>
      <c r="B40" s="14" t="s">
        <v>91</v>
      </c>
      <c r="C40" s="12"/>
      <c r="D40" s="12"/>
      <c r="E40" s="12"/>
      <c r="F40" s="12">
        <f>(G22+F37)*1%</f>
        <v>40.401790653456999</v>
      </c>
      <c r="G40" s="12">
        <f>F40</f>
        <v>40.401790653456999</v>
      </c>
      <c r="H40" s="11"/>
      <c r="I40" s="19"/>
      <c r="J40" s="12"/>
      <c r="K40" s="12"/>
      <c r="L40" s="11"/>
    </row>
    <row r="41" spans="1:256" s="2" customFormat="1" ht="18" customHeight="1">
      <c r="A41" s="11"/>
      <c r="B41" s="14" t="s">
        <v>92</v>
      </c>
      <c r="C41" s="12">
        <f>C22</f>
        <v>2669.913654</v>
      </c>
      <c r="D41" s="12">
        <f>D22</f>
        <v>961.85570499999994</v>
      </c>
      <c r="E41" s="12">
        <f>E22</f>
        <v>238.282883</v>
      </c>
      <c r="F41" s="12">
        <f>F37+F38</f>
        <v>299.406823345703</v>
      </c>
      <c r="G41" s="12">
        <f>SUM(C41:F41)</f>
        <v>4169.4590653456999</v>
      </c>
      <c r="H41" s="11"/>
      <c r="I41" s="19"/>
      <c r="J41" s="19"/>
      <c r="K41" s="12">
        <f>G41/$G$6*100</f>
        <v>100</v>
      </c>
      <c r="L41" s="11"/>
    </row>
    <row r="42" spans="1:256" s="2" customFormat="1" ht="18" customHeight="1">
      <c r="A42" s="11"/>
      <c r="B42" s="14"/>
      <c r="C42" s="12"/>
      <c r="D42" s="12"/>
      <c r="E42" s="12"/>
      <c r="F42" s="19"/>
      <c r="G42" s="19"/>
      <c r="H42" s="11"/>
      <c r="I42" s="19"/>
      <c r="J42" s="19"/>
      <c r="K42" s="12"/>
      <c r="L42" s="11"/>
    </row>
    <row r="43" spans="1:256" s="4" customFormat="1" ht="18" customHeight="1">
      <c r="A43" s="15"/>
      <c r="B43" s="16" t="s">
        <v>93</v>
      </c>
      <c r="C43" s="13">
        <f>C41</f>
        <v>2669.913654</v>
      </c>
      <c r="D43" s="13">
        <f>D41</f>
        <v>961.85570499999994</v>
      </c>
      <c r="E43" s="13">
        <f>E41</f>
        <v>238.282883</v>
      </c>
      <c r="F43" s="13">
        <f>F41</f>
        <v>299.406823345703</v>
      </c>
      <c r="G43" s="20">
        <f>SUM(C43:F43)</f>
        <v>4169.4590653456999</v>
      </c>
      <c r="H43" s="15" t="s">
        <v>47</v>
      </c>
      <c r="I43" s="20">
        <f>I6</f>
        <v>12142.6</v>
      </c>
      <c r="J43" s="13">
        <f>G43/I43*10000</f>
        <v>3433.7448860587501</v>
      </c>
      <c r="K43" s="13">
        <v>100</v>
      </c>
      <c r="L43" s="15"/>
    </row>
    <row r="44" spans="1:256" s="2" customFormat="1" ht="18" customHeight="1">
      <c r="A44" s="11"/>
      <c r="B44" s="14" t="s">
        <v>94</v>
      </c>
      <c r="C44" s="12">
        <v>64.560376810133107</v>
      </c>
      <c r="D44" s="12">
        <v>23.063602993583899</v>
      </c>
      <c r="E44" s="12">
        <v>5.72</v>
      </c>
      <c r="F44" s="12">
        <v>6.6624170174376403</v>
      </c>
      <c r="G44" s="12">
        <f>G43/$G$6*100</f>
        <v>100</v>
      </c>
      <c r="H44" s="11"/>
      <c r="I44" s="19"/>
      <c r="J44" s="19"/>
      <c r="K44" s="12"/>
      <c r="L44" s="11"/>
    </row>
    <row r="45" spans="1:256" s="2" customFormat="1" ht="24.9" customHeight="1">
      <c r="A45" s="7"/>
      <c r="B45" s="21"/>
      <c r="C45" s="10"/>
      <c r="D45" s="10"/>
      <c r="E45" s="10"/>
      <c r="F45" s="10"/>
      <c r="G45" s="10"/>
      <c r="H45" s="10"/>
      <c r="I45" s="10"/>
      <c r="J45" s="10"/>
      <c r="K45" s="25"/>
      <c r="L45" s="1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s="2" customFormat="1" ht="15.6">
      <c r="A46" s="7"/>
      <c r="B46" s="8"/>
      <c r="C46" s="7"/>
      <c r="D46" s="7"/>
      <c r="E46" s="7"/>
      <c r="F46" s="7"/>
      <c r="G46" s="7"/>
      <c r="H46" s="7"/>
      <c r="I46" s="7"/>
      <c r="J46" s="7"/>
      <c r="K46" s="9"/>
      <c r="L46" s="1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</sheetData>
  <mergeCells count="9">
    <mergeCell ref="A2:L2"/>
    <mergeCell ref="A3:L3"/>
    <mergeCell ref="C4:F4"/>
    <mergeCell ref="H4:J4"/>
    <mergeCell ref="A4:A5"/>
    <mergeCell ref="B4:B5"/>
    <mergeCell ref="G4:G5"/>
    <mergeCell ref="K4:K5"/>
    <mergeCell ref="L4:L5"/>
  </mergeCells>
  <phoneticPr fontId="13" type="noConversion"/>
  <printOptions horizontalCentered="1"/>
  <pageMargins left="0.27500000000000002" right="0.118055555555556" top="0.78740157480314998" bottom="0.78740157480314998" header="0.511811023622047" footer="0.511811023622047"/>
  <pageSetup paperSize="9" orientation="landscape" horizontalDpi="180" verticalDpi="18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设计签署页</vt:lpstr>
      <vt:lpstr>设计概算封面</vt:lpstr>
      <vt:lpstr>框架结构最后打印</vt:lpstr>
      <vt:lpstr>框架结构最后打印!Print_Area</vt:lpstr>
      <vt:lpstr>框架结构最后打印!Print_Titles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2020-05-08T02:02:22Z</cp:lastPrinted>
  <dcterms:created xsi:type="dcterms:W3CDTF">2020-03-10T08:46:00Z</dcterms:created>
  <dcterms:modified xsi:type="dcterms:W3CDTF">2020-05-08T02:02:43Z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